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Objects="none" defaultThemeVersion="202300"/>
  <mc:AlternateContent xmlns:mc="http://schemas.openxmlformats.org/markup-compatibility/2006">
    <mc:Choice Requires="x15">
      <x15ac:absPath xmlns:x15ac="http://schemas.microsoft.com/office/spreadsheetml/2010/11/ac" url="C:\01 Spf KMP og Fa. KMP\50 Sandshavið\2024\Túrur 7-2024 Føroyar\"/>
    </mc:Choice>
  </mc:AlternateContent>
  <xr:revisionPtr revIDLastSave="0" documentId="13_ncr:1_{AAF90206-76EC-4FA9-AAB2-7456B0DD3905}" xr6:coauthVersionLast="47" xr6:coauthVersionMax="47" xr10:uidLastSave="{00000000-0000-0000-0000-000000000000}"/>
  <bookViews>
    <workbookView xWindow="-108" yWindow="-108" windowWidth="23256" windowHeight="12456" xr2:uid="{EAC4F2BA-A838-46AD-A6AA-9338BBD10F7C}"/>
  </bookViews>
  <sheets>
    <sheet name="Túrur 07-2024 FMF" sheetId="1" r:id="rId1"/>
    <sheet name="Ark2" sheetId="2" r:id="rId2"/>
  </sheets>
  <definedNames>
    <definedName name="_xlnm.Print_Area" localSheetId="0">'Túrur 07-2024 FMF'!$A$1:$G$73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1" i="1"/>
  <c r="E42" i="1"/>
  <c r="E33" i="1"/>
  <c r="E21" i="1"/>
  <c r="E35" i="1"/>
  <c r="E68" i="1"/>
  <c r="E66" i="1"/>
  <c r="E62" i="1"/>
  <c r="E54" i="1"/>
  <c r="E53" i="1"/>
  <c r="E52" i="1"/>
  <c r="E45" i="1"/>
  <c r="E44" i="1"/>
  <c r="E43" i="1"/>
  <c r="E36" i="1"/>
  <c r="E34" i="1"/>
  <c r="E25" i="1"/>
  <c r="E24" i="1"/>
  <c r="E23" i="1"/>
  <c r="E22" i="1"/>
  <c r="E46" i="1" l="1"/>
  <c r="E55" i="1"/>
  <c r="E37" i="1"/>
  <c r="E28" i="1"/>
  <c r="E69" i="1"/>
  <c r="E71" i="1" l="1"/>
  <c r="F20" i="2"/>
  <c r="F19" i="2"/>
  <c r="E7" i="2"/>
  <c r="F14" i="2"/>
  <c r="D14" i="2"/>
  <c r="B5" i="2"/>
  <c r="C6" i="2"/>
  <c r="F22" i="2" l="1"/>
  <c r="F55" i="2" l="1"/>
  <c r="D22" i="2"/>
  <c r="C8" i="2"/>
  <c r="C7" i="2"/>
  <c r="B8" i="2"/>
  <c r="B7" i="2"/>
  <c r="B4" i="2"/>
  <c r="B3" i="2"/>
  <c r="B48" i="2"/>
  <c r="F24" i="2"/>
  <c r="F31" i="2" l="1"/>
  <c r="F28" i="2"/>
  <c r="F32" i="2"/>
  <c r="E22" i="2" l="1"/>
  <c r="D13" i="2" l="1"/>
  <c r="D16" i="2" s="1"/>
  <c r="E29" i="2" s="1"/>
  <c r="D33" i="2" l="1"/>
  <c r="F33" i="2" s="1"/>
  <c r="F13" i="2" l="1"/>
  <c r="E13" i="2" s="1"/>
  <c r="F16" i="2" l="1"/>
  <c r="E16" i="2" s="1"/>
  <c r="E14" i="2" l="1"/>
  <c r="F27" i="2"/>
  <c r="F35" i="2" s="1"/>
  <c r="F37" i="2" l="1"/>
  <c r="F39" i="2" s="1"/>
  <c r="F41" i="2" s="1"/>
  <c r="F54" i="2" s="1"/>
  <c r="F42" i="2" l="1"/>
  <c r="F61" i="2" s="1"/>
  <c r="F51" i="2"/>
  <c r="F53" i="2"/>
  <c r="F52" i="2"/>
  <c r="F56" i="2"/>
  <c r="F44" i="2" l="1"/>
  <c r="F58" i="2"/>
  <c r="F60" i="2" s="1"/>
  <c r="F63" i="2" s="1"/>
  <c r="F65" i="2" s="1"/>
  <c r="F67" i="2" s="1"/>
  <c r="F69" i="2" s="1"/>
</calcChain>
</file>

<file path=xl/sharedStrings.xml><?xml version="1.0" encoding="utf-8"?>
<sst xmlns="http://schemas.openxmlformats.org/spreadsheetml/2006/main" count="184" uniqueCount="109">
  <si>
    <t>Skipari</t>
  </si>
  <si>
    <t>Dagbók</t>
  </si>
  <si>
    <t>Veiðuloyvi</t>
  </si>
  <si>
    <t>FMF</t>
  </si>
  <si>
    <t>Species</t>
  </si>
  <si>
    <t>Product frozen</t>
  </si>
  <si>
    <t>Size kg</t>
  </si>
  <si>
    <t>kg</t>
  </si>
  <si>
    <t>Toskur</t>
  </si>
  <si>
    <t>H/G</t>
  </si>
  <si>
    <t>0-1</t>
  </si>
  <si>
    <t>1-2,5</t>
  </si>
  <si>
    <t>2,5-5</t>
  </si>
  <si>
    <t>5+</t>
  </si>
  <si>
    <t>Hýsa</t>
  </si>
  <si>
    <t xml:space="preserve"> </t>
  </si>
  <si>
    <t>Longa</t>
  </si>
  <si>
    <t>0-2</t>
  </si>
  <si>
    <t>2-4</t>
  </si>
  <si>
    <t>4+</t>
  </si>
  <si>
    <t>Brosma</t>
  </si>
  <si>
    <t>1-2</t>
  </si>
  <si>
    <t>2+</t>
  </si>
  <si>
    <t>Upsi</t>
  </si>
  <si>
    <t>0-2,5</t>
  </si>
  <si>
    <t>2,5+</t>
  </si>
  <si>
    <t>Havtaskuhalar</t>
  </si>
  <si>
    <t>tails</t>
  </si>
  <si>
    <t>Skøturavar</t>
  </si>
  <si>
    <t>wings</t>
  </si>
  <si>
    <t>Hvítingur</t>
  </si>
  <si>
    <t>0-0,8</t>
  </si>
  <si>
    <t>0,8-1,5</t>
  </si>
  <si>
    <t>1,5+</t>
  </si>
  <si>
    <t>7+</t>
  </si>
  <si>
    <t>prísur, kr/kg</t>
  </si>
  <si>
    <t>FoFish</t>
  </si>
  <si>
    <t>á kr.</t>
  </si>
  <si>
    <t>kr.</t>
  </si>
  <si>
    <t>Søla í alt</t>
  </si>
  <si>
    <t>Agn</t>
  </si>
  <si>
    <t>Agn umborð</t>
  </si>
  <si>
    <t>Agn í alt</t>
  </si>
  <si>
    <t>Brenniolja, litrar</t>
  </si>
  <si>
    <t>Smyrjiolja</t>
  </si>
  <si>
    <t>Vørugjald, FMF</t>
  </si>
  <si>
    <t>Trygdargrunnurin</t>
  </si>
  <si>
    <t>Proviantur, 112,90 kr pr mann pr dag</t>
  </si>
  <si>
    <t>Landingarútreiðslur</t>
  </si>
  <si>
    <t>Trygging fyri inntøkutap</t>
  </si>
  <si>
    <t>Trygging av veiðu</t>
  </si>
  <si>
    <t>Pakningur, 19 oyru/kg</t>
  </si>
  <si>
    <t>Aðrar útreiðslur í alt</t>
  </si>
  <si>
    <t>Eftir at býta</t>
  </si>
  <si>
    <t>Manningin eigur 40%</t>
  </si>
  <si>
    <t>Ein manningarpartur</t>
  </si>
  <si>
    <t>Frítíðarløn</t>
  </si>
  <si>
    <t>Ein manningarpartur við frítíðarløn</t>
  </si>
  <si>
    <t>Stýrimaður</t>
  </si>
  <si>
    <t>Meistari</t>
  </si>
  <si>
    <t>Kokkur</t>
  </si>
  <si>
    <t>Kokkaviðbót, kr. 75 pr. dag</t>
  </si>
  <si>
    <t>Bátsmaður</t>
  </si>
  <si>
    <t>Yvirmannapartar í alt</t>
  </si>
  <si>
    <t>Hýra</t>
  </si>
  <si>
    <t>Hýra í alt</t>
  </si>
  <si>
    <t>Als, Barsil o.o. gjøld, 4,86%</t>
  </si>
  <si>
    <t>Hýra og almenn lønargjøld í alt</t>
  </si>
  <si>
    <t>Hýra sum % av søluni</t>
  </si>
  <si>
    <t xml:space="preserve">Longa </t>
  </si>
  <si>
    <t>Agn, høgguslokkur</t>
  </si>
  <si>
    <t>dagar</t>
  </si>
  <si>
    <t>Søluútreiðslur, FMF</t>
  </si>
  <si>
    <t>Túrur 06-2024 - Føroyar</t>
  </si>
  <si>
    <t>Agn, makrelur Svend C</t>
  </si>
  <si>
    <t>Yvirmannapartar</t>
  </si>
  <si>
    <t>Sandshavið 07-2024</t>
  </si>
  <si>
    <t>Virgar Hentze</t>
  </si>
  <si>
    <t xml:space="preserve">Toskur </t>
  </si>
  <si>
    <t>KMP MP</t>
  </si>
  <si>
    <t>Brosma, Fø. Banki</t>
  </si>
  <si>
    <t>Toskur, Fø. Banki</t>
  </si>
  <si>
    <t>Hýsa, Fø. Banki</t>
  </si>
  <si>
    <t>Longa, Fø. Banki</t>
  </si>
  <si>
    <t>Havtaskuhalar, Fø. Banki</t>
  </si>
  <si>
    <t>Kalvi</t>
  </si>
  <si>
    <t>gutted</t>
  </si>
  <si>
    <t>1 stk. á 26</t>
  </si>
  <si>
    <t>1-4 kg</t>
  </si>
  <si>
    <t>Upsi í alt</t>
  </si>
  <si>
    <t>Rud í alt</t>
  </si>
  <si>
    <t>Hvítingur, Fø. Banki</t>
  </si>
  <si>
    <t>Skøturavar, Fø. Banki</t>
  </si>
  <si>
    <t>8+</t>
  </si>
  <si>
    <t>Frá 17. nov. til 19. des. 2024</t>
  </si>
  <si>
    <t>H/G, single</t>
  </si>
  <si>
    <t>Toskur, Fø. Banki í alt</t>
  </si>
  <si>
    <t>Toskur landgrunnurin í alt</t>
  </si>
  <si>
    <t>Hýsa, Fø. Banki í alt</t>
  </si>
  <si>
    <t>Hýsa landgrunnurin í alt</t>
  </si>
  <si>
    <t>Longa, Fø. Banki í alt</t>
  </si>
  <si>
    <t>Brosma, Fø. Banki í alt</t>
  </si>
  <si>
    <t>Veiða Fø. Banki og landgr. í alt</t>
  </si>
  <si>
    <t>Ein fiskidagur (27. novembur) er á Bankanum - tann fiskurin er markaður við gulum</t>
  </si>
  <si>
    <t>Selja á FMF 19/12-2024 eftir máldari vekt umborð</t>
  </si>
  <si>
    <t>Landað verður hjá Barðinum í Havn tann 20. des. 2024</t>
  </si>
  <si>
    <t>Longa landgrunnurin í alt</t>
  </si>
  <si>
    <t>Brosma landgrunnurin í alt</t>
  </si>
  <si>
    <t>Fiskað við Føroyar og ein dag á Bankanum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</si>
</sst>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4" fontId="0" fillId="0" borderId="0" xfId="0" applyNumberFormat="1"/>
    <xf numFmtId="43" fontId="0" fillId="0" borderId="0" xfId="1" applyFont="1"/>
    <xf numFmtId="0" fontId="0" fillId="0" borderId="2" xfId="0" applyBorder="1"/>
    <xf numFmtId="4" fontId="0" fillId="0" borderId="2" xfId="0" applyNumberFormat="1" applyBorder="1"/>
    <xf numFmtId="43" fontId="0" fillId="0" borderId="2" xfId="1" applyFont="1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3" fontId="0" fillId="0" borderId="5" xfId="1" applyFont="1" applyBorder="1"/>
    <xf numFmtId="4" fontId="0" fillId="0" borderId="5" xfId="0" applyNumberFormat="1" applyBorder="1"/>
    <xf numFmtId="0" fontId="0" fillId="0" borderId="6" xfId="0" applyBorder="1"/>
    <xf numFmtId="4" fontId="0" fillId="0" borderId="6" xfId="0" applyNumberFormat="1" applyBorder="1"/>
    <xf numFmtId="0" fontId="2" fillId="0" borderId="7" xfId="0" applyFont="1" applyBorder="1"/>
    <xf numFmtId="0" fontId="0" fillId="0" borderId="7" xfId="0" applyBorder="1"/>
    <xf numFmtId="4" fontId="2" fillId="0" borderId="7" xfId="0" applyNumberFormat="1" applyFont="1" applyBorder="1"/>
    <xf numFmtId="4" fontId="2" fillId="0" borderId="3" xfId="0" applyNumberFormat="1" applyFont="1" applyBorder="1"/>
    <xf numFmtId="0" fontId="2" fillId="0" borderId="3" xfId="0" applyFont="1" applyBorder="1"/>
    <xf numFmtId="0" fontId="0" fillId="0" borderId="3" xfId="0" applyBorder="1"/>
    <xf numFmtId="4" fontId="0" fillId="0" borderId="3" xfId="0" applyNumberFormat="1" applyBorder="1"/>
    <xf numFmtId="3" fontId="0" fillId="0" borderId="0" xfId="0" applyNumberFormat="1"/>
    <xf numFmtId="0" fontId="0" fillId="0" borderId="8" xfId="0" applyBorder="1"/>
    <xf numFmtId="4" fontId="0" fillId="0" borderId="8" xfId="0" applyNumberFormat="1" applyBorder="1"/>
    <xf numFmtId="43" fontId="2" fillId="0" borderId="3" xfId="1" applyFont="1" applyBorder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" xfId="0" applyFill="1" applyBorder="1"/>
    <xf numFmtId="43" fontId="0" fillId="3" borderId="1" xfId="1" applyFont="1" applyFill="1" applyBorder="1"/>
    <xf numFmtId="0" fontId="2" fillId="3" borderId="12" xfId="0" applyFont="1" applyFill="1" applyBorder="1"/>
    <xf numFmtId="0" fontId="0" fillId="3" borderId="13" xfId="0" applyFill="1" applyBorder="1"/>
    <xf numFmtId="0" fontId="2" fillId="3" borderId="3" xfId="0" applyFont="1" applyFill="1" applyBorder="1" applyAlignment="1">
      <alignment horizontal="center"/>
    </xf>
    <xf numFmtId="43" fontId="2" fillId="3" borderId="3" xfId="1" applyFont="1" applyFill="1" applyBorder="1" applyAlignment="1">
      <alignment horizontal="center"/>
    </xf>
    <xf numFmtId="0" fontId="0" fillId="0" borderId="9" xfId="0" applyBorder="1"/>
    <xf numFmtId="0" fontId="0" fillId="0" borderId="14" xfId="0" applyBorder="1"/>
    <xf numFmtId="0" fontId="0" fillId="0" borderId="15" xfId="0" applyBorder="1"/>
    <xf numFmtId="4" fontId="0" fillId="0" borderId="16" xfId="0" applyNumberFormat="1" applyBorder="1"/>
    <xf numFmtId="4" fontId="0" fillId="0" borderId="4" xfId="1" applyNumberFormat="1" applyFont="1" applyBorder="1"/>
    <xf numFmtId="0" fontId="0" fillId="0" borderId="17" xfId="0" applyBorder="1"/>
    <xf numFmtId="4" fontId="0" fillId="0" borderId="18" xfId="0" applyNumberFormat="1" applyBorder="1"/>
    <xf numFmtId="4" fontId="0" fillId="0" borderId="5" xfId="1" applyNumberFormat="1" applyFont="1" applyBorder="1"/>
    <xf numFmtId="0" fontId="0" fillId="0" borderId="19" xfId="0" applyBorder="1"/>
    <xf numFmtId="4" fontId="0" fillId="0" borderId="20" xfId="0" applyNumberFormat="1" applyBorder="1"/>
    <xf numFmtId="4" fontId="0" fillId="0" borderId="6" xfId="1" applyNumberFormat="1" applyFont="1" applyBorder="1"/>
    <xf numFmtId="4" fontId="0" fillId="0" borderId="14" xfId="0" applyNumberFormat="1" applyBorder="1"/>
    <xf numFmtId="4" fontId="0" fillId="0" borderId="2" xfId="1" applyNumberFormat="1" applyFont="1" applyBorder="1"/>
    <xf numFmtId="0" fontId="2" fillId="0" borderId="12" xfId="0" applyFont="1" applyBorder="1"/>
    <xf numFmtId="4" fontId="0" fillId="0" borderId="13" xfId="0" applyNumberFormat="1" applyBorder="1"/>
    <xf numFmtId="4" fontId="2" fillId="0" borderId="3" xfId="1" applyNumberFormat="1" applyFont="1" applyBorder="1"/>
    <xf numFmtId="0" fontId="2" fillId="0" borderId="9" xfId="0" applyFont="1" applyBorder="1"/>
    <xf numFmtId="0" fontId="0" fillId="0" borderId="16" xfId="0" applyBorder="1"/>
    <xf numFmtId="4" fontId="1" fillId="0" borderId="4" xfId="1" applyNumberFormat="1" applyFont="1" applyBorder="1"/>
    <xf numFmtId="0" fontId="0" fillId="0" borderId="20" xfId="0" applyBorder="1"/>
    <xf numFmtId="4" fontId="1" fillId="0" borderId="6" xfId="1" applyNumberFormat="1" applyFont="1" applyBorder="1"/>
    <xf numFmtId="0" fontId="0" fillId="0" borderId="13" xfId="0" applyBorder="1"/>
    <xf numFmtId="4" fontId="4" fillId="0" borderId="3" xfId="0" applyNumberFormat="1" applyFont="1" applyBorder="1"/>
    <xf numFmtId="0" fontId="4" fillId="0" borderId="9" xfId="0" applyFont="1" applyBorder="1"/>
    <xf numFmtId="4" fontId="4" fillId="0" borderId="2" xfId="0" applyNumberFormat="1" applyFont="1" applyBorder="1"/>
    <xf numFmtId="4" fontId="1" fillId="0" borderId="2" xfId="1" applyNumberFormat="1" applyFont="1" applyBorder="1"/>
    <xf numFmtId="4" fontId="1" fillId="0" borderId="5" xfId="1" applyNumberFormat="1" applyFont="1" applyBorder="1"/>
    <xf numFmtId="4" fontId="2" fillId="0" borderId="0" xfId="0" applyNumberFormat="1" applyFont="1"/>
    <xf numFmtId="16" fontId="0" fillId="0" borderId="0" xfId="0" quotePrefix="1" applyNumberFormat="1"/>
    <xf numFmtId="4" fontId="0" fillId="0" borderId="3" xfId="1" applyNumberFormat="1" applyFont="1" applyBorder="1"/>
    <xf numFmtId="4" fontId="2" fillId="0" borderId="2" xfId="1" applyNumberFormat="1" applyFont="1" applyBorder="1"/>
    <xf numFmtId="4" fontId="0" fillId="0" borderId="0" xfId="1" applyNumberFormat="1" applyFont="1"/>
    <xf numFmtId="4" fontId="0" fillId="3" borderId="21" xfId="0" applyNumberFormat="1" applyFill="1" applyBorder="1"/>
    <xf numFmtId="4" fontId="0" fillId="3" borderId="11" xfId="1" applyNumberFormat="1" applyFont="1" applyFill="1" applyBorder="1"/>
    <xf numFmtId="4" fontId="0" fillId="3" borderId="1" xfId="1" applyNumberFormat="1" applyFont="1" applyFill="1" applyBorder="1"/>
    <xf numFmtId="4" fontId="0" fillId="0" borderId="0" xfId="0" applyNumberFormat="1" applyAlignment="1">
      <alignment horizontal="right"/>
    </xf>
    <xf numFmtId="4" fontId="0" fillId="3" borderId="22" xfId="0" applyNumberFormat="1" applyFill="1" applyBorder="1"/>
    <xf numFmtId="4" fontId="0" fillId="3" borderId="13" xfId="1" applyNumberFormat="1" applyFont="1" applyFill="1" applyBorder="1"/>
    <xf numFmtId="4" fontId="2" fillId="3" borderId="3" xfId="1" applyNumberFormat="1" applyFont="1" applyFill="1" applyBorder="1" applyAlignment="1">
      <alignment horizontal="center"/>
    </xf>
    <xf numFmtId="4" fontId="0" fillId="0" borderId="14" xfId="1" applyNumberFormat="1" applyFont="1" applyBorder="1"/>
    <xf numFmtId="43" fontId="0" fillId="0" borderId="14" xfId="1" applyFont="1" applyBorder="1"/>
    <xf numFmtId="0" fontId="0" fillId="0" borderId="23" xfId="0" applyBorder="1"/>
    <xf numFmtId="43" fontId="0" fillId="0" borderId="16" xfId="1" applyFont="1" applyBorder="1"/>
    <xf numFmtId="0" fontId="0" fillId="0" borderId="24" xfId="0" applyBorder="1"/>
    <xf numFmtId="43" fontId="0" fillId="0" borderId="18" xfId="1" applyFont="1" applyBorder="1"/>
    <xf numFmtId="4" fontId="2" fillId="0" borderId="0" xfId="0" applyNumberFormat="1" applyFont="1" applyAlignment="1">
      <alignment horizontal="right"/>
    </xf>
    <xf numFmtId="0" fontId="0" fillId="0" borderId="25" xfId="0" applyBorder="1"/>
    <xf numFmtId="43" fontId="0" fillId="0" borderId="20" xfId="1" applyFont="1" applyBorder="1"/>
    <xf numFmtId="4" fontId="0" fillId="0" borderId="1" xfId="1" applyNumberFormat="1" applyFont="1" applyBorder="1"/>
    <xf numFmtId="0" fontId="0" fillId="0" borderId="22" xfId="0" applyBorder="1"/>
    <xf numFmtId="43" fontId="0" fillId="0" borderId="13" xfId="1" applyFont="1" applyBorder="1"/>
    <xf numFmtId="0" fontId="0" fillId="0" borderId="12" xfId="0" applyBorder="1"/>
    <xf numFmtId="3" fontId="0" fillId="0" borderId="0" xfId="0" applyNumberFormat="1" applyAlignment="1">
      <alignment horizontal="left"/>
    </xf>
    <xf numFmtId="4" fontId="2" fillId="0" borderId="4" xfId="0" applyNumberFormat="1" applyFont="1" applyBorder="1"/>
    <xf numFmtId="4" fontId="2" fillId="0" borderId="4" xfId="1" applyNumberFormat="1" applyFont="1" applyBorder="1"/>
    <xf numFmtId="4" fontId="2" fillId="0" borderId="5" xfId="1" applyNumberFormat="1" applyFont="1" applyFill="1" applyBorder="1"/>
    <xf numFmtId="4" fontId="2" fillId="0" borderId="6" xfId="1" applyNumberFormat="1" applyFont="1" applyBorder="1"/>
    <xf numFmtId="4" fontId="1" fillId="0" borderId="5" xfId="1" applyNumberFormat="1" applyFont="1" applyFill="1" applyBorder="1"/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" fontId="0" fillId="0" borderId="5" xfId="0" quotePrefix="1" applyNumberFormat="1" applyBorder="1"/>
    <xf numFmtId="0" fontId="0" fillId="4" borderId="1" xfId="0" applyFill="1" applyBorder="1"/>
    <xf numFmtId="4" fontId="2" fillId="4" borderId="1" xfId="0" applyNumberFormat="1" applyFont="1" applyFill="1" applyBorder="1"/>
    <xf numFmtId="0" fontId="2" fillId="4" borderId="3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" fontId="0" fillId="2" borderId="5" xfId="0" quotePrefix="1" applyNumberFormat="1" applyFill="1" applyBorder="1"/>
    <xf numFmtId="4" fontId="0" fillId="2" borderId="4" xfId="0" applyNumberFormat="1" applyFill="1" applyBorder="1"/>
    <xf numFmtId="4" fontId="0" fillId="2" borderId="5" xfId="0" applyNumberFormat="1" applyFill="1" applyBorder="1"/>
    <xf numFmtId="16" fontId="0" fillId="0" borderId="6" xfId="0" quotePrefix="1" applyNumberFormat="1" applyBorder="1"/>
    <xf numFmtId="4" fontId="0" fillId="2" borderId="6" xfId="0" applyNumberFormat="1" applyFill="1" applyBorder="1"/>
    <xf numFmtId="16" fontId="0" fillId="2" borderId="6" xfId="0" quotePrefix="1" applyNumberFormat="1" applyFill="1" applyBorder="1"/>
    <xf numFmtId="0" fontId="0" fillId="2" borderId="3" xfId="0" applyFill="1" applyBorder="1"/>
    <xf numFmtId="4" fontId="0" fillId="2" borderId="3" xfId="0" applyNumberFormat="1" applyFill="1" applyBorder="1"/>
    <xf numFmtId="4" fontId="5" fillId="0" borderId="6" xfId="0" applyNumberFormat="1" applyFont="1" applyBorder="1"/>
    <xf numFmtId="0" fontId="5" fillId="0" borderId="6" xfId="0" applyFont="1" applyBorder="1"/>
    <xf numFmtId="4" fontId="2" fillId="2" borderId="3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0" fillId="2" borderId="7" xfId="0" applyFill="1" applyBorder="1"/>
    <xf numFmtId="4" fontId="2" fillId="2" borderId="7" xfId="0" applyNumberFormat="1" applyFont="1" applyFill="1" applyBorder="1"/>
    <xf numFmtId="4" fontId="0" fillId="2" borderId="7" xfId="0" applyNumberFormat="1" applyFill="1" applyBorder="1"/>
    <xf numFmtId="16" fontId="0" fillId="2" borderId="7" xfId="0" quotePrefix="1" applyNumberFormat="1" applyFill="1" applyBorder="1"/>
    <xf numFmtId="4" fontId="2" fillId="0" borderId="9" xfId="0" applyNumberFormat="1" applyFont="1" applyBorder="1" applyAlignment="1">
      <alignment horizontal="center"/>
    </xf>
    <xf numFmtId="4" fontId="0" fillId="0" borderId="9" xfId="0" applyNumberFormat="1" applyBorder="1"/>
    <xf numFmtId="4" fontId="2" fillId="0" borderId="9" xfId="0" applyNumberFormat="1" applyFont="1" applyBorder="1"/>
    <xf numFmtId="43" fontId="2" fillId="0" borderId="9" xfId="1" applyFont="1" applyFill="1" applyBorder="1"/>
    <xf numFmtId="0" fontId="6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1113880</xdr:colOff>
      <xdr:row>4</xdr:row>
      <xdr:rowOff>1</xdr:rowOff>
    </xdr:from>
    <xdr:to>
      <xdr:col>27</xdr:col>
      <xdr:colOff>228773</xdr:colOff>
      <xdr:row>50</xdr:row>
      <xdr:rowOff>31535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4CB8350-5467-1BA3-D437-5FF0B8DA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3237" y="707572"/>
          <a:ext cx="7529610" cy="820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265A-A1FC-4965-BCD3-34ABAB2DF003}">
  <dimension ref="B2:H83"/>
  <sheetViews>
    <sheetView tabSelected="1" topLeftCell="A65" zoomScale="90" zoomScaleNormal="90" zoomScaleSheetLayoutView="90" workbookViewId="0">
      <selection activeCell="E69" sqref="E69"/>
    </sheetView>
  </sheetViews>
  <sheetFormatPr defaultRowHeight="14.4" x14ac:dyDescent="0.3"/>
  <cols>
    <col min="1" max="1" width="4.5546875" customWidth="1"/>
    <col min="2" max="2" width="31.44140625" customWidth="1"/>
    <col min="3" max="3" width="17.77734375" customWidth="1"/>
    <col min="4" max="4" width="13.5546875" customWidth="1"/>
    <col min="5" max="5" width="16" customWidth="1"/>
    <col min="6" max="6" width="16.33203125" style="2" customWidth="1"/>
    <col min="7" max="7" width="4" style="2" customWidth="1"/>
    <col min="8" max="8" width="11.109375" customWidth="1"/>
    <col min="9" max="11" width="8.88671875" customWidth="1"/>
  </cols>
  <sheetData>
    <row r="2" spans="2:7" ht="18" x14ac:dyDescent="0.35">
      <c r="B2" s="125" t="s">
        <v>76</v>
      </c>
    </row>
    <row r="3" spans="2:7" ht="18" x14ac:dyDescent="0.35">
      <c r="B3" s="125" t="s">
        <v>108</v>
      </c>
    </row>
    <row r="4" spans="2:7" x14ac:dyDescent="0.3">
      <c r="B4" s="1"/>
    </row>
    <row r="5" spans="2:7" x14ac:dyDescent="0.3">
      <c r="B5" t="s">
        <v>94</v>
      </c>
    </row>
    <row r="6" spans="2:7" x14ac:dyDescent="0.3">
      <c r="B6" s="1" t="s">
        <v>103</v>
      </c>
    </row>
    <row r="7" spans="2:7" x14ac:dyDescent="0.3">
      <c r="B7" t="s">
        <v>104</v>
      </c>
    </row>
    <row r="8" spans="2:7" x14ac:dyDescent="0.3">
      <c r="B8" t="s">
        <v>105</v>
      </c>
    </row>
    <row r="9" spans="2:7" x14ac:dyDescent="0.3">
      <c r="B9" s="1"/>
    </row>
    <row r="10" spans="2:7" x14ac:dyDescent="0.3">
      <c r="B10" t="s">
        <v>0</v>
      </c>
      <c r="C10" s="94" t="s">
        <v>77</v>
      </c>
    </row>
    <row r="11" spans="2:7" x14ac:dyDescent="0.3">
      <c r="B11" t="s">
        <v>1</v>
      </c>
      <c r="C11" s="94">
        <v>24585</v>
      </c>
    </row>
    <row r="12" spans="2:7" x14ac:dyDescent="0.3">
      <c r="B12" t="s">
        <v>2</v>
      </c>
      <c r="C12" s="94">
        <v>66288</v>
      </c>
    </row>
    <row r="14" spans="2:7" x14ac:dyDescent="0.3">
      <c r="B14" s="96"/>
      <c r="C14" s="96"/>
      <c r="D14" s="96"/>
      <c r="E14" s="97"/>
      <c r="F14" s="100" t="s">
        <v>79</v>
      </c>
      <c r="G14" s="121"/>
    </row>
    <row r="15" spans="2:7" x14ac:dyDescent="0.3">
      <c r="B15" s="98" t="s">
        <v>4</v>
      </c>
      <c r="C15" s="98" t="s">
        <v>5</v>
      </c>
      <c r="D15" s="98" t="s">
        <v>6</v>
      </c>
      <c r="E15" s="99" t="s">
        <v>7</v>
      </c>
      <c r="F15" s="99" t="s">
        <v>35</v>
      </c>
      <c r="G15" s="121"/>
    </row>
    <row r="16" spans="2:7" x14ac:dyDescent="0.3">
      <c r="B16" s="4"/>
      <c r="C16" s="4"/>
      <c r="D16" s="4"/>
      <c r="E16" s="5"/>
      <c r="F16" s="5"/>
      <c r="G16" s="122"/>
    </row>
    <row r="17" spans="2:8" x14ac:dyDescent="0.3">
      <c r="B17" s="101" t="s">
        <v>81</v>
      </c>
      <c r="C17" s="101" t="s">
        <v>9</v>
      </c>
      <c r="D17" s="101" t="s">
        <v>10</v>
      </c>
      <c r="E17" s="105">
        <v>5</v>
      </c>
      <c r="F17" s="105">
        <v>37</v>
      </c>
      <c r="G17" s="122"/>
    </row>
    <row r="18" spans="2:8" x14ac:dyDescent="0.3">
      <c r="B18" s="102" t="s">
        <v>81</v>
      </c>
      <c r="C18" s="102" t="s">
        <v>9</v>
      </c>
      <c r="D18" s="102" t="s">
        <v>11</v>
      </c>
      <c r="E18" s="106">
        <v>10</v>
      </c>
      <c r="F18" s="106">
        <v>45</v>
      </c>
      <c r="G18" s="122"/>
    </row>
    <row r="19" spans="2:8" x14ac:dyDescent="0.3">
      <c r="B19" s="102" t="s">
        <v>81</v>
      </c>
      <c r="C19" s="102" t="s">
        <v>9</v>
      </c>
      <c r="D19" s="102" t="s">
        <v>12</v>
      </c>
      <c r="E19" s="106">
        <v>50</v>
      </c>
      <c r="F19" s="106">
        <v>51</v>
      </c>
      <c r="G19" s="122"/>
    </row>
    <row r="20" spans="2:8" x14ac:dyDescent="0.3">
      <c r="B20" s="103" t="s">
        <v>81</v>
      </c>
      <c r="C20" s="103" t="s">
        <v>9</v>
      </c>
      <c r="D20" s="103" t="s">
        <v>13</v>
      </c>
      <c r="E20" s="108">
        <v>5500</v>
      </c>
      <c r="F20" s="108">
        <v>65</v>
      </c>
      <c r="G20" s="122"/>
    </row>
    <row r="21" spans="2:8" x14ac:dyDescent="0.3">
      <c r="B21" s="115" t="s">
        <v>96</v>
      </c>
      <c r="C21" s="110"/>
      <c r="D21" s="110"/>
      <c r="E21" s="114">
        <f>SUM(E17:E20)</f>
        <v>5565</v>
      </c>
      <c r="F21" s="111"/>
      <c r="G21" s="122"/>
    </row>
    <row r="22" spans="2:8" x14ac:dyDescent="0.3">
      <c r="B22" s="7" t="s">
        <v>8</v>
      </c>
      <c r="C22" s="7" t="s">
        <v>9</v>
      </c>
      <c r="D22" s="7" t="s">
        <v>10</v>
      </c>
      <c r="E22" s="8">
        <f>850-E17</f>
        <v>845</v>
      </c>
      <c r="F22" s="8">
        <v>37</v>
      </c>
      <c r="G22" s="122"/>
    </row>
    <row r="23" spans="2:8" x14ac:dyDescent="0.3">
      <c r="B23" s="9" t="s">
        <v>8</v>
      </c>
      <c r="C23" s="9" t="s">
        <v>9</v>
      </c>
      <c r="D23" s="9" t="s">
        <v>11</v>
      </c>
      <c r="E23" s="11">
        <f>10500-E18</f>
        <v>10490</v>
      </c>
      <c r="F23" s="11">
        <v>45</v>
      </c>
      <c r="G23" s="122"/>
    </row>
    <row r="24" spans="2:8" x14ac:dyDescent="0.3">
      <c r="B24" s="9" t="s">
        <v>8</v>
      </c>
      <c r="C24" s="9" t="s">
        <v>9</v>
      </c>
      <c r="D24" s="9" t="s">
        <v>12</v>
      </c>
      <c r="E24" s="11">
        <f>11000-E19</f>
        <v>10950</v>
      </c>
      <c r="F24" s="11">
        <v>51</v>
      </c>
      <c r="G24" s="122"/>
    </row>
    <row r="25" spans="2:8" x14ac:dyDescent="0.3">
      <c r="B25" s="9" t="s">
        <v>8</v>
      </c>
      <c r="C25" s="9" t="s">
        <v>9</v>
      </c>
      <c r="D25" s="9" t="s">
        <v>13</v>
      </c>
      <c r="E25" s="11">
        <f>8400-E20</f>
        <v>2900</v>
      </c>
      <c r="F25" s="11">
        <v>60</v>
      </c>
      <c r="G25" s="122"/>
    </row>
    <row r="26" spans="2:8" x14ac:dyDescent="0.3">
      <c r="B26" s="22" t="s">
        <v>8</v>
      </c>
      <c r="C26" s="22" t="s">
        <v>9</v>
      </c>
      <c r="D26" s="22" t="s">
        <v>34</v>
      </c>
      <c r="E26" s="23">
        <v>600</v>
      </c>
      <c r="F26" s="23">
        <v>65</v>
      </c>
      <c r="G26" s="122"/>
    </row>
    <row r="27" spans="2:8" x14ac:dyDescent="0.3">
      <c r="B27" s="113" t="s">
        <v>78</v>
      </c>
      <c r="C27" s="113" t="s">
        <v>95</v>
      </c>
      <c r="D27" s="113" t="s">
        <v>93</v>
      </c>
      <c r="E27" s="112">
        <v>100</v>
      </c>
      <c r="F27" s="13">
        <v>65</v>
      </c>
      <c r="G27" s="122"/>
    </row>
    <row r="28" spans="2:8" x14ac:dyDescent="0.3">
      <c r="B28" s="14" t="s">
        <v>97</v>
      </c>
      <c r="C28" s="15"/>
      <c r="D28" s="15"/>
      <c r="E28" s="16">
        <f>SUM(E22:E27)</f>
        <v>25885</v>
      </c>
      <c r="F28" s="16"/>
      <c r="G28" s="123"/>
      <c r="H28" s="2"/>
    </row>
    <row r="29" spans="2:8" x14ac:dyDescent="0.3">
      <c r="B29" s="4"/>
      <c r="C29" s="4"/>
      <c r="D29" s="4"/>
      <c r="E29" s="5"/>
      <c r="F29" s="5"/>
      <c r="G29" s="122"/>
    </row>
    <row r="30" spans="2:8" x14ac:dyDescent="0.3">
      <c r="B30" s="101" t="s">
        <v>82</v>
      </c>
      <c r="C30" s="101" t="s">
        <v>9</v>
      </c>
      <c r="D30" s="101" t="s">
        <v>31</v>
      </c>
      <c r="E30" s="105">
        <v>1960</v>
      </c>
      <c r="F30" s="105">
        <v>32</v>
      </c>
      <c r="G30" s="122"/>
    </row>
    <row r="31" spans="2:8" x14ac:dyDescent="0.3">
      <c r="B31" s="102" t="s">
        <v>82</v>
      </c>
      <c r="C31" s="102" t="s">
        <v>9</v>
      </c>
      <c r="D31" s="102" t="s">
        <v>32</v>
      </c>
      <c r="E31" s="106">
        <v>900</v>
      </c>
      <c r="F31" s="106">
        <v>42</v>
      </c>
      <c r="G31" s="122"/>
    </row>
    <row r="32" spans="2:8" x14ac:dyDescent="0.3">
      <c r="B32" s="103" t="s">
        <v>82</v>
      </c>
      <c r="C32" s="103" t="s">
        <v>9</v>
      </c>
      <c r="D32" s="103" t="s">
        <v>33</v>
      </c>
      <c r="E32" s="108">
        <v>225</v>
      </c>
      <c r="F32" s="108">
        <v>42</v>
      </c>
      <c r="G32" s="122"/>
    </row>
    <row r="33" spans="2:8" x14ac:dyDescent="0.3">
      <c r="B33" s="116" t="s">
        <v>98</v>
      </c>
      <c r="C33" s="117"/>
      <c r="D33" s="117"/>
      <c r="E33" s="118">
        <f>SUM(E30:E32)</f>
        <v>3085</v>
      </c>
      <c r="F33" s="119"/>
      <c r="G33" s="122"/>
    </row>
    <row r="34" spans="2:8" x14ac:dyDescent="0.3">
      <c r="B34" s="7" t="s">
        <v>14</v>
      </c>
      <c r="C34" s="7" t="s">
        <v>9</v>
      </c>
      <c r="D34" s="7" t="s">
        <v>31</v>
      </c>
      <c r="E34" s="8">
        <f>16000-E30</f>
        <v>14040</v>
      </c>
      <c r="F34" s="8">
        <v>32</v>
      </c>
      <c r="G34" s="122"/>
    </row>
    <row r="35" spans="2:8" x14ac:dyDescent="0.3">
      <c r="B35" s="9" t="s">
        <v>14</v>
      </c>
      <c r="C35" s="9" t="s">
        <v>9</v>
      </c>
      <c r="D35" s="9" t="s">
        <v>32</v>
      </c>
      <c r="E35" s="11">
        <f>30000-E31</f>
        <v>29100</v>
      </c>
      <c r="F35" s="11">
        <v>42</v>
      </c>
      <c r="G35" s="122"/>
    </row>
    <row r="36" spans="2:8" x14ac:dyDescent="0.3">
      <c r="B36" s="12" t="s">
        <v>14</v>
      </c>
      <c r="C36" s="12" t="s">
        <v>9</v>
      </c>
      <c r="D36" s="12" t="s">
        <v>33</v>
      </c>
      <c r="E36" s="13">
        <f>1700-E32</f>
        <v>1475</v>
      </c>
      <c r="F36" s="13">
        <v>42</v>
      </c>
      <c r="G36" s="122"/>
    </row>
    <row r="37" spans="2:8" x14ac:dyDescent="0.3">
      <c r="B37" s="14" t="s">
        <v>99</v>
      </c>
      <c r="C37" s="15"/>
      <c r="D37" s="15"/>
      <c r="E37" s="16">
        <f>SUM(E34:E36)</f>
        <v>44615</v>
      </c>
      <c r="F37" s="16"/>
      <c r="G37" s="123"/>
      <c r="H37" s="2"/>
    </row>
    <row r="38" spans="2:8" x14ac:dyDescent="0.3">
      <c r="B38" s="4"/>
      <c r="C38" s="4"/>
      <c r="D38" s="4"/>
      <c r="E38" s="5"/>
      <c r="F38" s="5"/>
      <c r="G38" s="122"/>
    </row>
    <row r="39" spans="2:8" x14ac:dyDescent="0.3">
      <c r="B39" s="101" t="s">
        <v>83</v>
      </c>
      <c r="C39" s="101" t="s">
        <v>9</v>
      </c>
      <c r="D39" s="101" t="s">
        <v>17</v>
      </c>
      <c r="E39" s="105">
        <v>170</v>
      </c>
      <c r="F39" s="105">
        <v>21.5</v>
      </c>
      <c r="G39" s="122"/>
    </row>
    <row r="40" spans="2:8" x14ac:dyDescent="0.3">
      <c r="B40" s="102" t="s">
        <v>83</v>
      </c>
      <c r="C40" s="102" t="s">
        <v>9</v>
      </c>
      <c r="D40" s="104" t="s">
        <v>18</v>
      </c>
      <c r="E40" s="106">
        <v>55</v>
      </c>
      <c r="F40" s="106">
        <v>24.5</v>
      </c>
      <c r="G40" s="122"/>
    </row>
    <row r="41" spans="2:8" x14ac:dyDescent="0.3">
      <c r="B41" s="103" t="s">
        <v>83</v>
      </c>
      <c r="C41" s="103" t="s">
        <v>9</v>
      </c>
      <c r="D41" s="109" t="s">
        <v>19</v>
      </c>
      <c r="E41" s="108">
        <v>80</v>
      </c>
      <c r="F41" s="108">
        <v>24.5</v>
      </c>
      <c r="G41" s="122"/>
    </row>
    <row r="42" spans="2:8" x14ac:dyDescent="0.3">
      <c r="B42" s="116" t="s">
        <v>100</v>
      </c>
      <c r="C42" s="117"/>
      <c r="D42" s="120"/>
      <c r="E42" s="118">
        <f>SUM(E39:E41)</f>
        <v>305</v>
      </c>
      <c r="F42" s="119"/>
      <c r="G42" s="122"/>
    </row>
    <row r="43" spans="2:8" x14ac:dyDescent="0.3">
      <c r="B43" s="7" t="s">
        <v>16</v>
      </c>
      <c r="C43" s="7" t="s">
        <v>9</v>
      </c>
      <c r="D43" s="7" t="s">
        <v>17</v>
      </c>
      <c r="E43" s="8">
        <f>1500-E39</f>
        <v>1330</v>
      </c>
      <c r="F43" s="8">
        <v>21.5</v>
      </c>
      <c r="G43" s="122"/>
    </row>
    <row r="44" spans="2:8" x14ac:dyDescent="0.3">
      <c r="B44" s="9" t="s">
        <v>16</v>
      </c>
      <c r="C44" s="9" t="s">
        <v>9</v>
      </c>
      <c r="D44" s="95" t="s">
        <v>18</v>
      </c>
      <c r="E44" s="11">
        <f>1700-E40</f>
        <v>1645</v>
      </c>
      <c r="F44" s="11">
        <v>24.5</v>
      </c>
      <c r="G44" s="122"/>
    </row>
    <row r="45" spans="2:8" x14ac:dyDescent="0.3">
      <c r="B45" s="12" t="s">
        <v>69</v>
      </c>
      <c r="C45" s="12" t="s">
        <v>9</v>
      </c>
      <c r="D45" s="107" t="s">
        <v>19</v>
      </c>
      <c r="E45" s="13">
        <f>3200-E41</f>
        <v>3120</v>
      </c>
      <c r="F45" s="13">
        <v>24.5</v>
      </c>
      <c r="G45" s="122"/>
    </row>
    <row r="46" spans="2:8" x14ac:dyDescent="0.3">
      <c r="B46" s="14" t="s">
        <v>106</v>
      </c>
      <c r="C46" s="15"/>
      <c r="D46" s="15"/>
      <c r="E46" s="16">
        <f>SUM(E43:E45)</f>
        <v>6095</v>
      </c>
      <c r="F46" s="16"/>
      <c r="G46" s="123"/>
      <c r="H46" s="2"/>
    </row>
    <row r="47" spans="2:8" x14ac:dyDescent="0.3">
      <c r="B47" s="4"/>
      <c r="C47" s="4"/>
      <c r="D47" s="4"/>
      <c r="E47" s="5"/>
      <c r="F47" s="5"/>
      <c r="G47" s="122"/>
    </row>
    <row r="48" spans="2:8" x14ac:dyDescent="0.3">
      <c r="B48" s="101" t="s">
        <v>80</v>
      </c>
      <c r="C48" s="101" t="s">
        <v>9</v>
      </c>
      <c r="D48" s="101" t="s">
        <v>10</v>
      </c>
      <c r="E48" s="105">
        <v>15</v>
      </c>
      <c r="F48" s="105">
        <v>12.5</v>
      </c>
      <c r="G48" s="122"/>
    </row>
    <row r="49" spans="2:8" x14ac:dyDescent="0.3">
      <c r="B49" s="102" t="s">
        <v>80</v>
      </c>
      <c r="C49" s="102" t="s">
        <v>9</v>
      </c>
      <c r="D49" s="104" t="s">
        <v>21</v>
      </c>
      <c r="E49" s="106">
        <v>150</v>
      </c>
      <c r="F49" s="106">
        <v>13.3</v>
      </c>
      <c r="G49" s="122"/>
    </row>
    <row r="50" spans="2:8" x14ac:dyDescent="0.3">
      <c r="B50" s="103" t="s">
        <v>80</v>
      </c>
      <c r="C50" s="103" t="s">
        <v>9</v>
      </c>
      <c r="D50" s="103" t="s">
        <v>22</v>
      </c>
      <c r="E50" s="108">
        <v>45</v>
      </c>
      <c r="F50" s="108">
        <v>13.5</v>
      </c>
      <c r="G50" s="122"/>
    </row>
    <row r="51" spans="2:8" x14ac:dyDescent="0.3">
      <c r="B51" s="116" t="s">
        <v>101</v>
      </c>
      <c r="C51" s="117"/>
      <c r="D51" s="117"/>
      <c r="E51" s="118">
        <f>SUM(E48:E50)</f>
        <v>210</v>
      </c>
      <c r="F51" s="119"/>
      <c r="G51" s="122"/>
    </row>
    <row r="52" spans="2:8" x14ac:dyDescent="0.3">
      <c r="B52" s="7" t="s">
        <v>20</v>
      </c>
      <c r="C52" s="7" t="s">
        <v>9</v>
      </c>
      <c r="D52" s="7" t="s">
        <v>10</v>
      </c>
      <c r="E52" s="8">
        <f>2400-E48</f>
        <v>2385</v>
      </c>
      <c r="F52" s="8">
        <v>12.5</v>
      </c>
      <c r="G52" s="122"/>
    </row>
    <row r="53" spans="2:8" x14ac:dyDescent="0.3">
      <c r="B53" s="9" t="s">
        <v>20</v>
      </c>
      <c r="C53" s="9" t="s">
        <v>9</v>
      </c>
      <c r="D53" s="95" t="s">
        <v>21</v>
      </c>
      <c r="E53" s="11">
        <f>6200-E49</f>
        <v>6050</v>
      </c>
      <c r="F53" s="11">
        <v>13.3</v>
      </c>
      <c r="G53" s="122"/>
    </row>
    <row r="54" spans="2:8" x14ac:dyDescent="0.3">
      <c r="B54" s="12" t="s">
        <v>20</v>
      </c>
      <c r="C54" s="12" t="s">
        <v>9</v>
      </c>
      <c r="D54" s="12" t="s">
        <v>22</v>
      </c>
      <c r="E54" s="13">
        <f>1100-E50</f>
        <v>1055</v>
      </c>
      <c r="F54" s="13">
        <v>13.5</v>
      </c>
      <c r="G54" s="122"/>
    </row>
    <row r="55" spans="2:8" x14ac:dyDescent="0.3">
      <c r="B55" s="14" t="s">
        <v>107</v>
      </c>
      <c r="C55" s="15"/>
      <c r="D55" s="15"/>
      <c r="E55" s="16">
        <f>SUM(E52:E54)</f>
        <v>9490</v>
      </c>
      <c r="F55" s="16"/>
      <c r="G55" s="123"/>
      <c r="H55" s="2"/>
    </row>
    <row r="56" spans="2:8" x14ac:dyDescent="0.3">
      <c r="B56" s="4"/>
      <c r="C56" s="4"/>
      <c r="D56" s="4"/>
      <c r="E56" s="5"/>
      <c r="F56" s="5"/>
      <c r="G56" s="122"/>
    </row>
    <row r="57" spans="2:8" x14ac:dyDescent="0.3">
      <c r="B57" s="7" t="s">
        <v>23</v>
      </c>
      <c r="C57" s="7" t="s">
        <v>9</v>
      </c>
      <c r="D57" s="7" t="s">
        <v>24</v>
      </c>
      <c r="E57" s="8">
        <v>5</v>
      </c>
      <c r="F57" s="8">
        <v>11</v>
      </c>
      <c r="G57" s="122"/>
    </row>
    <row r="58" spans="2:8" x14ac:dyDescent="0.3">
      <c r="B58" s="12" t="s">
        <v>23</v>
      </c>
      <c r="C58" s="12" t="s">
        <v>9</v>
      </c>
      <c r="D58" s="12" t="s">
        <v>25</v>
      </c>
      <c r="E58" s="13">
        <v>90</v>
      </c>
      <c r="F58" s="13">
        <v>11</v>
      </c>
      <c r="G58" s="122"/>
    </row>
    <row r="59" spans="2:8" x14ac:dyDescent="0.3">
      <c r="B59" s="14" t="s">
        <v>89</v>
      </c>
      <c r="C59" s="15"/>
      <c r="D59" s="15"/>
      <c r="E59" s="16">
        <f>SUM(E57:E58)</f>
        <v>95</v>
      </c>
      <c r="F59" s="16"/>
      <c r="G59" s="123"/>
    </row>
    <row r="60" spans="2:8" x14ac:dyDescent="0.3">
      <c r="B60" s="4"/>
      <c r="C60" s="4"/>
      <c r="D60" s="4"/>
      <c r="E60" s="5"/>
      <c r="F60" s="5"/>
      <c r="G60" s="122"/>
    </row>
    <row r="61" spans="2:8" x14ac:dyDescent="0.3">
      <c r="B61" s="110" t="s">
        <v>84</v>
      </c>
      <c r="C61" s="110" t="s">
        <v>27</v>
      </c>
      <c r="D61" s="110"/>
      <c r="E61" s="111">
        <v>220</v>
      </c>
      <c r="F61" s="111">
        <v>60</v>
      </c>
      <c r="G61" s="122"/>
    </row>
    <row r="62" spans="2:8" x14ac:dyDescent="0.3">
      <c r="B62" s="7" t="s">
        <v>26</v>
      </c>
      <c r="C62" s="7" t="s">
        <v>27</v>
      </c>
      <c r="D62" s="7"/>
      <c r="E62" s="8">
        <f>410-E61</f>
        <v>190</v>
      </c>
      <c r="F62" s="8">
        <v>60</v>
      </c>
      <c r="G62" s="122"/>
    </row>
    <row r="63" spans="2:8" x14ac:dyDescent="0.3">
      <c r="B63" s="7" t="s">
        <v>85</v>
      </c>
      <c r="C63" s="7" t="s">
        <v>86</v>
      </c>
      <c r="D63" s="7" t="s">
        <v>87</v>
      </c>
      <c r="E63" s="8">
        <v>26</v>
      </c>
      <c r="F63" s="8">
        <v>70</v>
      </c>
      <c r="G63" s="122"/>
    </row>
    <row r="64" spans="2:8" x14ac:dyDescent="0.3">
      <c r="B64" s="7" t="s">
        <v>85</v>
      </c>
      <c r="C64" s="7" t="s">
        <v>86</v>
      </c>
      <c r="D64" s="7" t="s">
        <v>88</v>
      </c>
      <c r="E64" s="8">
        <v>75</v>
      </c>
      <c r="F64" s="8">
        <v>70</v>
      </c>
      <c r="G64" s="122"/>
    </row>
    <row r="65" spans="2:8" x14ac:dyDescent="0.3">
      <c r="B65" s="103" t="s">
        <v>92</v>
      </c>
      <c r="C65" s="103" t="s">
        <v>29</v>
      </c>
      <c r="D65" s="103"/>
      <c r="E65" s="108">
        <v>240</v>
      </c>
      <c r="F65" s="108">
        <v>12.5</v>
      </c>
      <c r="G65" s="122"/>
    </row>
    <row r="66" spans="2:8" x14ac:dyDescent="0.3">
      <c r="B66" s="7" t="s">
        <v>28</v>
      </c>
      <c r="C66" s="7" t="s">
        <v>29</v>
      </c>
      <c r="D66" s="7"/>
      <c r="E66" s="8">
        <f>1000-E65</f>
        <v>760</v>
      </c>
      <c r="F66" s="8">
        <v>12.5</v>
      </c>
      <c r="G66" s="122"/>
      <c r="H66" s="2"/>
    </row>
    <row r="67" spans="2:8" x14ac:dyDescent="0.3">
      <c r="B67" s="103" t="s">
        <v>91</v>
      </c>
      <c r="C67" s="103" t="s">
        <v>9</v>
      </c>
      <c r="D67" s="103"/>
      <c r="E67" s="108">
        <v>40</v>
      </c>
      <c r="F67" s="108">
        <v>7</v>
      </c>
      <c r="G67" s="122"/>
    </row>
    <row r="68" spans="2:8" x14ac:dyDescent="0.3">
      <c r="B68" s="19" t="s">
        <v>30</v>
      </c>
      <c r="C68" s="19" t="s">
        <v>9</v>
      </c>
      <c r="D68" s="19"/>
      <c r="E68" s="20">
        <f>3900-E67</f>
        <v>3860</v>
      </c>
      <c r="F68" s="20">
        <v>7</v>
      </c>
      <c r="G68" s="122"/>
      <c r="H68" s="2"/>
    </row>
    <row r="69" spans="2:8" x14ac:dyDescent="0.3">
      <c r="B69" s="14" t="s">
        <v>90</v>
      </c>
      <c r="C69" s="15"/>
      <c r="D69" s="15"/>
      <c r="E69" s="16">
        <f>+SUM(E61:E68)</f>
        <v>5411</v>
      </c>
      <c r="F69" s="16"/>
      <c r="G69" s="123"/>
    </row>
    <row r="70" spans="2:8" x14ac:dyDescent="0.3">
      <c r="B70" s="4"/>
      <c r="C70" s="4"/>
      <c r="D70" s="4"/>
      <c r="E70" s="5"/>
      <c r="F70" s="5"/>
      <c r="G70" s="122"/>
    </row>
    <row r="71" spans="2:8" x14ac:dyDescent="0.3">
      <c r="B71" s="18" t="s">
        <v>102</v>
      </c>
      <c r="C71" s="19"/>
      <c r="D71" s="19"/>
      <c r="E71" s="17">
        <f>+E21+E28+E33+E37+E42+E46+E51+E55+E59+E69</f>
        <v>100756</v>
      </c>
      <c r="F71" s="24"/>
      <c r="G71" s="124"/>
    </row>
    <row r="72" spans="2:8" x14ac:dyDescent="0.3">
      <c r="E72" s="2"/>
    </row>
    <row r="73" spans="2:8" x14ac:dyDescent="0.3">
      <c r="E73" s="2"/>
    </row>
    <row r="74" spans="2:8" x14ac:dyDescent="0.3">
      <c r="E74" s="2"/>
    </row>
    <row r="75" spans="2:8" x14ac:dyDescent="0.3">
      <c r="E75" s="2"/>
    </row>
    <row r="76" spans="2:8" x14ac:dyDescent="0.3">
      <c r="E76" s="2"/>
    </row>
    <row r="77" spans="2:8" x14ac:dyDescent="0.3">
      <c r="E77" s="2" t="s">
        <v>15</v>
      </c>
    </row>
    <row r="78" spans="2:8" x14ac:dyDescent="0.3">
      <c r="E78" s="2" t="s">
        <v>15</v>
      </c>
    </row>
    <row r="79" spans="2:8" x14ac:dyDescent="0.3">
      <c r="E79" s="2"/>
    </row>
    <row r="80" spans="2:8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</sheetData>
  <pageMargins left="0.7" right="0.7" top="0.75" bottom="0.75" header="0.3" footer="0.3"/>
  <pageSetup paperSize="9" scale="57" orientation="portrait" r:id="rId1"/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B0BD-3792-4C44-A333-3C542AD55B6E}">
  <dimension ref="B3:X81"/>
  <sheetViews>
    <sheetView zoomScale="90" zoomScaleNormal="90" workbookViewId="0">
      <selection activeCell="H7" sqref="H7"/>
    </sheetView>
  </sheetViews>
  <sheetFormatPr defaultRowHeight="14.4" x14ac:dyDescent="0.3"/>
  <cols>
    <col min="1" max="1" width="2.21875" customWidth="1"/>
    <col min="2" max="2" width="32.33203125" customWidth="1"/>
    <col min="3" max="3" width="10.44140625" customWidth="1"/>
    <col min="4" max="4" width="13.88671875" customWidth="1"/>
    <col min="5" max="5" width="7.77734375" customWidth="1"/>
    <col min="6" max="6" width="13.77734375" customWidth="1"/>
    <col min="7" max="7" width="3" customWidth="1"/>
    <col min="8" max="8" width="33.6640625" customWidth="1"/>
    <col min="9" max="9" width="18.5546875" customWidth="1"/>
    <col min="10" max="10" width="16.109375" style="70" customWidth="1"/>
    <col min="11" max="11" width="12.88671875" style="70" customWidth="1"/>
    <col min="12" max="12" width="16.6640625" style="70" customWidth="1"/>
    <col min="13" max="13" width="11.6640625" style="70" bestFit="1" customWidth="1"/>
    <col min="14" max="14" width="16.88671875" style="70" customWidth="1"/>
    <col min="15" max="15" width="8.88671875" style="70"/>
  </cols>
  <sheetData>
    <row r="3" spans="2:24" x14ac:dyDescent="0.3">
      <c r="B3" s="25" t="str">
        <f>+'Túrur 07-2024 FMF'!B2</f>
        <v>Sandshavið 07-2024</v>
      </c>
    </row>
    <row r="4" spans="2:24" x14ac:dyDescent="0.3">
      <c r="B4" s="21" t="str">
        <f>+'Túrur 07-2024 FMF'!B3</f>
        <v>Fiskað við Føroyar og ein dag á Bankanum</v>
      </c>
    </row>
    <row r="5" spans="2:24" x14ac:dyDescent="0.3">
      <c r="B5" s="21" t="str">
        <f>+'Túrur 07-2024 FMF'!B5</f>
        <v>Frá 17. nov. til 19. des. 2024</v>
      </c>
      <c r="C5" s="94">
        <v>38</v>
      </c>
      <c r="D5" t="s">
        <v>71</v>
      </c>
    </row>
    <row r="6" spans="2:24" x14ac:dyDescent="0.3">
      <c r="B6" s="21"/>
      <c r="C6" s="87" t="str">
        <f>+'Túrur 07-2024 FMF'!C10</f>
        <v>Virgar Hentze</v>
      </c>
    </row>
    <row r="7" spans="2:24" x14ac:dyDescent="0.3">
      <c r="B7" s="21" t="str">
        <f>+'Túrur 07-2024 FMF'!B11</f>
        <v>Dagbók</v>
      </c>
      <c r="C7" s="87">
        <f>+'Túrur 07-2024 FMF'!C11</f>
        <v>24585</v>
      </c>
      <c r="E7">
        <f>18*38</f>
        <v>684</v>
      </c>
    </row>
    <row r="8" spans="2:24" x14ac:dyDescent="0.3">
      <c r="B8" s="21" t="str">
        <f>+'Túrur 07-2024 FMF'!B12</f>
        <v>Veiðuloyvi</v>
      </c>
      <c r="C8" s="87">
        <f>+'Túrur 07-2024 FMF'!C12</f>
        <v>66288</v>
      </c>
    </row>
    <row r="9" spans="2:24" x14ac:dyDescent="0.3">
      <c r="J9" s="80"/>
      <c r="V9" s="1"/>
    </row>
    <row r="10" spans="2:24" x14ac:dyDescent="0.3">
      <c r="B10" s="27"/>
      <c r="C10" s="28"/>
      <c r="D10" s="29"/>
      <c r="E10" s="30"/>
      <c r="F10" s="30"/>
      <c r="J10" s="80"/>
      <c r="V10" s="1"/>
      <c r="X10" s="1"/>
    </row>
    <row r="11" spans="2:24" x14ac:dyDescent="0.3">
      <c r="B11" s="31" t="s">
        <v>73</v>
      </c>
      <c r="C11" s="32"/>
      <c r="D11" s="33" t="s">
        <v>7</v>
      </c>
      <c r="E11" s="34" t="s">
        <v>37</v>
      </c>
      <c r="F11" s="34" t="s">
        <v>38</v>
      </c>
      <c r="J11" s="80"/>
      <c r="V11" s="1"/>
    </row>
    <row r="12" spans="2:24" x14ac:dyDescent="0.3">
      <c r="B12" s="35"/>
      <c r="C12" s="36"/>
      <c r="D12" s="4"/>
      <c r="E12" s="6"/>
      <c r="F12" s="6"/>
      <c r="J12" s="80"/>
      <c r="V12" s="1"/>
    </row>
    <row r="13" spans="2:24" x14ac:dyDescent="0.3">
      <c r="B13" s="37" t="s">
        <v>3</v>
      </c>
      <c r="C13" s="38"/>
      <c r="D13" s="8" t="e">
        <f>+'Túrur 07-2024 FMF'!#REF!-'Túrur 07-2024 FMF'!#REF!+'Túrur 07-2024 FMF'!#REF!+'Túrur 07-2024 FMF'!#REF!+'Túrur 07-2024 FMF'!#REF!+'Túrur 07-2024 FMF'!#REF!+'Túrur 07-2024 FMF'!#REF!+'Túrur 07-2024 FMF'!#REF!+'Túrur 07-2024 FMF'!#REF!</f>
        <v>#REF!</v>
      </c>
      <c r="E13" s="39" t="e">
        <f t="shared" ref="E13:E14" si="0">+F13/D13</f>
        <v>#REF!</v>
      </c>
      <c r="F13" s="8" t="e">
        <f>+'Túrur 07-2024 FMF'!#REF!+'Túrur 07-2024 FMF'!#REF!+'Túrur 07-2024 FMF'!#REF!+'Túrur 07-2024 FMF'!#REF!+'Túrur 07-2024 FMF'!#REF!+'Túrur 07-2024 FMF'!#REF!+'Túrur 07-2024 FMF'!#REF!+'Túrur 07-2024 FMF'!#REF!</f>
        <v>#REF!</v>
      </c>
      <c r="J13" s="80"/>
      <c r="V13" s="1"/>
    </row>
    <row r="14" spans="2:24" x14ac:dyDescent="0.3">
      <c r="B14" s="43" t="s">
        <v>36</v>
      </c>
      <c r="C14" s="44"/>
      <c r="D14" s="13" t="e">
        <f>+'Túrur 07-2024 FMF'!#REF!+'Túrur 07-2024 FMF'!#REF!+'Túrur 07-2024 FMF'!#REF!+'Túrur 07-2024 FMF'!#REF!+'Túrur 07-2024 FMF'!#REF!+'Túrur 07-2024 FMF'!#REF!</f>
        <v>#REF!</v>
      </c>
      <c r="E14" s="45" t="e">
        <f t="shared" si="0"/>
        <v>#REF!</v>
      </c>
      <c r="F14" s="45" t="e">
        <f>+'Túrur 07-2024 FMF'!#REF!+'Túrur 07-2024 FMF'!#REF!+'Túrur 07-2024 FMF'!#REF!+'Túrur 07-2024 FMF'!#REF!+'Túrur 07-2024 FMF'!#REF!+'Túrur 07-2024 FMF'!#REF!</f>
        <v>#REF!</v>
      </c>
      <c r="H14" s="2"/>
      <c r="J14" s="80"/>
      <c r="V14" s="1"/>
    </row>
    <row r="15" spans="2:24" x14ac:dyDescent="0.3">
      <c r="B15" s="35"/>
      <c r="C15" s="46"/>
      <c r="D15" s="5"/>
      <c r="E15" s="47"/>
      <c r="F15" s="47"/>
      <c r="J15" s="80"/>
      <c r="V15" s="1"/>
    </row>
    <row r="16" spans="2:24" x14ac:dyDescent="0.3">
      <c r="B16" s="48" t="s">
        <v>39</v>
      </c>
      <c r="C16" s="49"/>
      <c r="D16" s="50" t="e">
        <f>+SUM(D13:D14)</f>
        <v>#REF!</v>
      </c>
      <c r="E16" s="50" t="e">
        <f>+F16/D16</f>
        <v>#REF!</v>
      </c>
      <c r="F16" s="50" t="e">
        <f>+SUM(F13:F14)</f>
        <v>#REF!</v>
      </c>
      <c r="G16" t="s">
        <v>15</v>
      </c>
      <c r="J16" s="80"/>
      <c r="V16" s="1"/>
    </row>
    <row r="17" spans="2:22" x14ac:dyDescent="0.3">
      <c r="B17" s="35"/>
      <c r="C17" s="46"/>
      <c r="D17" s="5"/>
      <c r="E17" s="47"/>
      <c r="F17" s="47"/>
      <c r="J17" s="80"/>
      <c r="V17" s="1"/>
    </row>
    <row r="18" spans="2:22" x14ac:dyDescent="0.3">
      <c r="B18" s="51" t="s">
        <v>40</v>
      </c>
      <c r="C18" s="46"/>
      <c r="D18" s="5"/>
      <c r="E18" s="47"/>
      <c r="F18" s="47"/>
      <c r="K18" s="80"/>
      <c r="V18" s="1"/>
    </row>
    <row r="19" spans="2:22" x14ac:dyDescent="0.3">
      <c r="B19" s="37" t="s">
        <v>70</v>
      </c>
      <c r="C19" s="52"/>
      <c r="D19" s="8">
        <v>7919</v>
      </c>
      <c r="E19" s="8">
        <v>32.25</v>
      </c>
      <c r="F19" s="89">
        <f>+D19*E19+2000</f>
        <v>257387.75</v>
      </c>
      <c r="H19" s="62"/>
      <c r="N19" s="80"/>
    </row>
    <row r="20" spans="2:22" x14ac:dyDescent="0.3">
      <c r="B20" s="37" t="s">
        <v>74</v>
      </c>
      <c r="C20" s="52"/>
      <c r="D20" s="8">
        <v>20000</v>
      </c>
      <c r="E20" s="8">
        <v>11.58</v>
      </c>
      <c r="F20" s="89">
        <f>+D20*E20+2625</f>
        <v>234225</v>
      </c>
      <c r="H20" s="2"/>
      <c r="N20" s="80"/>
    </row>
    <row r="21" spans="2:22" x14ac:dyDescent="0.3">
      <c r="B21" s="43" t="s">
        <v>41</v>
      </c>
      <c r="C21" s="54"/>
      <c r="D21" s="13"/>
      <c r="E21" s="13"/>
      <c r="F21" s="91">
        <v>11535</v>
      </c>
      <c r="I21" s="26"/>
      <c r="M21" s="80"/>
      <c r="N21" s="80"/>
    </row>
    <row r="22" spans="2:22" x14ac:dyDescent="0.3">
      <c r="B22" s="48" t="s">
        <v>42</v>
      </c>
      <c r="C22" s="56"/>
      <c r="D22" s="57">
        <f>+SUM(D19:D21)</f>
        <v>27919</v>
      </c>
      <c r="E22" s="17">
        <f>+F22/D22</f>
        <v>18.021696694007666</v>
      </c>
      <c r="F22" s="50">
        <f>+SUM(F19:F21)</f>
        <v>503147.75</v>
      </c>
      <c r="H22" s="2"/>
      <c r="N22" s="80"/>
    </row>
    <row r="23" spans="2:22" x14ac:dyDescent="0.3">
      <c r="B23" s="58"/>
      <c r="C23" s="36"/>
      <c r="D23" s="59"/>
      <c r="E23" s="5"/>
      <c r="F23" s="60"/>
      <c r="N23" s="80"/>
    </row>
    <row r="24" spans="2:22" x14ac:dyDescent="0.3">
      <c r="B24" s="37" t="s">
        <v>43</v>
      </c>
      <c r="C24" s="52"/>
      <c r="D24" s="8">
        <v>69939</v>
      </c>
      <c r="E24" s="8">
        <v>4.6100000000000003</v>
      </c>
      <c r="F24" s="88">
        <f>+D24*E24</f>
        <v>322418.79000000004</v>
      </c>
      <c r="N24" s="80"/>
    </row>
    <row r="25" spans="2:22" x14ac:dyDescent="0.3">
      <c r="B25" s="40" t="s">
        <v>44</v>
      </c>
      <c r="C25" s="41"/>
      <c r="D25" s="11"/>
      <c r="E25" s="61"/>
      <c r="F25" s="90">
        <v>14655</v>
      </c>
      <c r="N25" s="93"/>
    </row>
    <row r="26" spans="2:22" x14ac:dyDescent="0.3">
      <c r="B26" s="40" t="s">
        <v>45</v>
      </c>
      <c r="C26" s="41"/>
      <c r="D26" s="11"/>
      <c r="E26" s="61"/>
      <c r="F26" s="90">
        <v>2269.13</v>
      </c>
      <c r="N26" s="80"/>
    </row>
    <row r="27" spans="2:22" x14ac:dyDescent="0.3">
      <c r="B27" s="40" t="s">
        <v>46</v>
      </c>
      <c r="C27" s="41"/>
      <c r="D27" s="11"/>
      <c r="E27" s="61"/>
      <c r="F27" s="90" t="e">
        <f>+F16*0.6%</f>
        <v>#REF!</v>
      </c>
      <c r="N27" s="93"/>
    </row>
    <row r="28" spans="2:22" x14ac:dyDescent="0.3">
      <c r="B28" s="40" t="s">
        <v>47</v>
      </c>
      <c r="C28" s="41"/>
      <c r="D28" s="11">
        <v>684</v>
      </c>
      <c r="E28" s="61">
        <v>112.9</v>
      </c>
      <c r="F28" s="92">
        <f>+D28*E28</f>
        <v>77223.600000000006</v>
      </c>
      <c r="N28" s="80"/>
    </row>
    <row r="29" spans="2:22" x14ac:dyDescent="0.3">
      <c r="B29" s="40" t="s">
        <v>48</v>
      </c>
      <c r="C29" s="41"/>
      <c r="D29" s="10"/>
      <c r="E29" s="61" t="e">
        <f>+F29/D16</f>
        <v>#REF!</v>
      </c>
      <c r="F29" s="92">
        <v>142505</v>
      </c>
      <c r="N29" s="80"/>
    </row>
    <row r="30" spans="2:22" x14ac:dyDescent="0.3">
      <c r="B30" s="40" t="s">
        <v>72</v>
      </c>
      <c r="C30" s="41"/>
      <c r="D30" s="11"/>
      <c r="E30" s="61"/>
      <c r="F30" s="92">
        <v>26317.1</v>
      </c>
      <c r="I30" s="63"/>
      <c r="N30" s="80"/>
    </row>
    <row r="31" spans="2:22" x14ac:dyDescent="0.3">
      <c r="B31" s="40" t="s">
        <v>49</v>
      </c>
      <c r="C31" s="41"/>
      <c r="D31" s="11">
        <v>684</v>
      </c>
      <c r="E31" s="61">
        <v>9</v>
      </c>
      <c r="F31" s="61">
        <f>+D31*E31</f>
        <v>6156</v>
      </c>
      <c r="N31" s="93"/>
    </row>
    <row r="32" spans="2:22" x14ac:dyDescent="0.3">
      <c r="B32" s="40" t="s">
        <v>50</v>
      </c>
      <c r="C32" s="41"/>
      <c r="D32" s="11">
        <v>684</v>
      </c>
      <c r="E32" s="61">
        <v>20</v>
      </c>
      <c r="F32" s="61">
        <f>+D32*E32</f>
        <v>13680</v>
      </c>
      <c r="N32" s="93"/>
    </row>
    <row r="33" spans="2:14" x14ac:dyDescent="0.3">
      <c r="B33" s="43" t="s">
        <v>51</v>
      </c>
      <c r="C33" s="44"/>
      <c r="D33" s="13" t="e">
        <f>+D16</f>
        <v>#REF!</v>
      </c>
      <c r="E33" s="55">
        <v>0.19</v>
      </c>
      <c r="F33" s="55" t="e">
        <f>+D33*E33</f>
        <v>#REF!</v>
      </c>
      <c r="N33" s="80"/>
    </row>
    <row r="34" spans="2:14" x14ac:dyDescent="0.3">
      <c r="B34" s="35"/>
      <c r="C34" s="46"/>
      <c r="D34" s="5"/>
      <c r="E34" s="47"/>
      <c r="F34" s="47" t="s">
        <v>15</v>
      </c>
      <c r="N34" s="80"/>
    </row>
    <row r="35" spans="2:14" x14ac:dyDescent="0.3">
      <c r="B35" s="48" t="s">
        <v>52</v>
      </c>
      <c r="C35" s="49"/>
      <c r="D35" s="20"/>
      <c r="E35" s="64"/>
      <c r="F35" s="50" t="e">
        <f>+SUM(F24:F33)</f>
        <v>#REF!</v>
      </c>
      <c r="H35" s="2"/>
      <c r="N35" s="80"/>
    </row>
    <row r="36" spans="2:14" x14ac:dyDescent="0.3">
      <c r="B36" s="35"/>
      <c r="C36" s="46"/>
      <c r="D36" s="5"/>
      <c r="E36" s="47"/>
      <c r="F36" s="47"/>
      <c r="N36" s="93"/>
    </row>
    <row r="37" spans="2:14" x14ac:dyDescent="0.3">
      <c r="B37" s="48" t="s">
        <v>53</v>
      </c>
      <c r="C37" s="49"/>
      <c r="D37" s="20"/>
      <c r="E37" s="64"/>
      <c r="F37" s="50" t="e">
        <f>+F16-F22-F35</f>
        <v>#REF!</v>
      </c>
      <c r="H37" s="2"/>
    </row>
    <row r="38" spans="2:14" x14ac:dyDescent="0.3">
      <c r="B38" s="35"/>
      <c r="C38" s="46"/>
      <c r="D38" s="5"/>
      <c r="E38" s="47"/>
      <c r="F38" s="47"/>
      <c r="J38" s="80"/>
      <c r="K38" s="80"/>
      <c r="L38" s="80"/>
      <c r="M38" s="80"/>
    </row>
    <row r="39" spans="2:14" x14ac:dyDescent="0.3">
      <c r="B39" s="48" t="s">
        <v>54</v>
      </c>
      <c r="C39" s="49"/>
      <c r="D39" s="20"/>
      <c r="E39" s="64"/>
      <c r="F39" s="50" t="e">
        <f>+F37*0.4</f>
        <v>#REF!</v>
      </c>
      <c r="H39" s="2"/>
    </row>
    <row r="40" spans="2:14" x14ac:dyDescent="0.3">
      <c r="B40" s="51"/>
      <c r="C40" s="46"/>
      <c r="D40" s="5"/>
      <c r="E40" s="47"/>
      <c r="F40" s="65"/>
    </row>
    <row r="41" spans="2:14" x14ac:dyDescent="0.3">
      <c r="B41" s="37" t="s">
        <v>55</v>
      </c>
      <c r="C41" s="38"/>
      <c r="D41" s="8"/>
      <c r="E41" s="53"/>
      <c r="F41" s="53" t="e">
        <f>+F39/16</f>
        <v>#REF!</v>
      </c>
      <c r="H41" s="3"/>
    </row>
    <row r="42" spans="2:14" x14ac:dyDescent="0.3">
      <c r="B42" s="43" t="s">
        <v>56</v>
      </c>
      <c r="C42" s="44"/>
      <c r="D42" s="13"/>
      <c r="E42" s="55"/>
      <c r="F42" s="55" t="e">
        <f>+F41*0.12</f>
        <v>#REF!</v>
      </c>
      <c r="H42" s="3"/>
    </row>
    <row r="43" spans="2:14" x14ac:dyDescent="0.3">
      <c r="B43" s="35"/>
      <c r="C43" s="46"/>
      <c r="D43" s="5"/>
      <c r="E43" s="47"/>
      <c r="F43" s="47"/>
      <c r="H43" s="3"/>
    </row>
    <row r="44" spans="2:14" x14ac:dyDescent="0.3">
      <c r="B44" s="48" t="s">
        <v>57</v>
      </c>
      <c r="C44" s="49"/>
      <c r="D44" s="20"/>
      <c r="E44" s="64"/>
      <c r="F44" s="50" t="e">
        <f>+F41+F42</f>
        <v>#REF!</v>
      </c>
      <c r="H44" s="3"/>
      <c r="K44" s="80"/>
      <c r="L44" s="80"/>
      <c r="M44" s="80"/>
    </row>
    <row r="45" spans="2:14" x14ac:dyDescent="0.3">
      <c r="C45" s="2"/>
      <c r="D45" s="2"/>
      <c r="E45" s="66"/>
      <c r="F45" s="66"/>
      <c r="H45" s="3"/>
      <c r="I45" s="26"/>
      <c r="K45" s="80"/>
      <c r="L45" s="80"/>
      <c r="M45" s="80"/>
      <c r="N45" s="80"/>
    </row>
    <row r="46" spans="2:14" x14ac:dyDescent="0.3">
      <c r="C46" s="2"/>
      <c r="D46" s="2"/>
      <c r="E46" s="66"/>
      <c r="F46" s="66"/>
      <c r="H46" s="3"/>
      <c r="I46" s="26"/>
      <c r="K46" s="80"/>
    </row>
    <row r="47" spans="2:14" x14ac:dyDescent="0.3">
      <c r="B47" s="27"/>
      <c r="C47" s="67"/>
      <c r="D47" s="67"/>
      <c r="E47" s="68"/>
      <c r="F47" s="69"/>
      <c r="H47" s="3"/>
    </row>
    <row r="48" spans="2:14" x14ac:dyDescent="0.3">
      <c r="B48" s="31" t="str">
        <f>+B11</f>
        <v>Túrur 06-2024 - Føroyar</v>
      </c>
      <c r="C48" s="71"/>
      <c r="D48" s="71"/>
      <c r="E48" s="72"/>
      <c r="F48" s="73" t="s">
        <v>38</v>
      </c>
      <c r="H48" s="3"/>
    </row>
    <row r="49" spans="2:13" x14ac:dyDescent="0.3">
      <c r="B49" s="35"/>
      <c r="C49" s="2"/>
      <c r="D49" s="2"/>
      <c r="E49" s="74"/>
      <c r="F49" s="47"/>
      <c r="H49" s="3"/>
    </row>
    <row r="50" spans="2:13" x14ac:dyDescent="0.3">
      <c r="B50" s="51" t="s">
        <v>75</v>
      </c>
      <c r="E50" s="75"/>
      <c r="F50" s="6" t="s">
        <v>15</v>
      </c>
      <c r="H50" s="3"/>
    </row>
    <row r="51" spans="2:13" x14ac:dyDescent="0.3">
      <c r="B51" s="37" t="s">
        <v>0</v>
      </c>
      <c r="C51" s="76"/>
      <c r="D51" s="76"/>
      <c r="E51" s="77"/>
      <c r="F51" s="39" t="e">
        <f>+F41*2.15</f>
        <v>#REF!</v>
      </c>
      <c r="G51" s="2"/>
      <c r="H51" s="3"/>
    </row>
    <row r="52" spans="2:13" x14ac:dyDescent="0.3">
      <c r="B52" s="40" t="s">
        <v>58</v>
      </c>
      <c r="C52" s="78"/>
      <c r="D52" s="78"/>
      <c r="E52" s="79"/>
      <c r="F52" s="42" t="e">
        <f>+F41*1</f>
        <v>#REF!</v>
      </c>
      <c r="H52" s="3"/>
      <c r="L52" s="80"/>
      <c r="M52" s="80"/>
    </row>
    <row r="53" spans="2:13" x14ac:dyDescent="0.3">
      <c r="B53" s="40" t="s">
        <v>59</v>
      </c>
      <c r="C53" s="78"/>
      <c r="D53" s="78"/>
      <c r="E53" s="79"/>
      <c r="F53" s="42" t="e">
        <f>+F41*1</f>
        <v>#REF!</v>
      </c>
      <c r="H53" s="3"/>
    </row>
    <row r="54" spans="2:13" x14ac:dyDescent="0.3">
      <c r="B54" s="40" t="s">
        <v>60</v>
      </c>
      <c r="C54" s="78"/>
      <c r="D54" s="78"/>
      <c r="E54" s="79"/>
      <c r="F54" s="42" t="e">
        <f>+F41*0.25</f>
        <v>#REF!</v>
      </c>
      <c r="I54" s="63"/>
    </row>
    <row r="55" spans="2:13" x14ac:dyDescent="0.3">
      <c r="B55" s="40" t="s">
        <v>61</v>
      </c>
      <c r="C55" s="78"/>
      <c r="D55" s="78"/>
      <c r="E55" s="79"/>
      <c r="F55" s="42">
        <f>+C5*75</f>
        <v>2850</v>
      </c>
    </row>
    <row r="56" spans="2:13" x14ac:dyDescent="0.3">
      <c r="B56" s="43" t="s">
        <v>62</v>
      </c>
      <c r="C56" s="81"/>
      <c r="D56" s="81"/>
      <c r="E56" s="82"/>
      <c r="F56" s="45" t="e">
        <f>+F41*0.1</f>
        <v>#REF!</v>
      </c>
    </row>
    <row r="57" spans="2:13" x14ac:dyDescent="0.3">
      <c r="B57" s="35"/>
      <c r="E57" s="75"/>
      <c r="F57" s="83"/>
    </row>
    <row r="58" spans="2:13" x14ac:dyDescent="0.3">
      <c r="B58" s="48" t="s">
        <v>63</v>
      </c>
      <c r="C58" s="84"/>
      <c r="D58" s="84"/>
      <c r="E58" s="85"/>
      <c r="F58" s="50" t="e">
        <f>SUM(F51:F56)</f>
        <v>#REF!</v>
      </c>
      <c r="I58" s="63"/>
    </row>
    <row r="59" spans="2:13" x14ac:dyDescent="0.3">
      <c r="B59" s="35"/>
      <c r="E59" s="75"/>
      <c r="F59" s="47"/>
    </row>
    <row r="60" spans="2:13" x14ac:dyDescent="0.3">
      <c r="B60" s="37" t="s">
        <v>64</v>
      </c>
      <c r="C60" s="76"/>
      <c r="D60" s="76"/>
      <c r="E60" s="77"/>
      <c r="F60" s="39" t="e">
        <f>+F39+F58</f>
        <v>#REF!</v>
      </c>
    </row>
    <row r="61" spans="2:13" x14ac:dyDescent="0.3">
      <c r="B61" s="43" t="s">
        <v>56</v>
      </c>
      <c r="C61" s="81"/>
      <c r="D61" s="81"/>
      <c r="E61" s="82"/>
      <c r="F61" s="45" t="e">
        <f>+F42*16</f>
        <v>#REF!</v>
      </c>
    </row>
    <row r="62" spans="2:13" x14ac:dyDescent="0.3">
      <c r="B62" s="35"/>
      <c r="E62" s="75"/>
      <c r="F62" s="47"/>
    </row>
    <row r="63" spans="2:13" x14ac:dyDescent="0.3">
      <c r="B63" s="48" t="s">
        <v>65</v>
      </c>
      <c r="C63" s="84"/>
      <c r="D63" s="84"/>
      <c r="E63" s="85"/>
      <c r="F63" s="50" t="e">
        <f>+F60+F61</f>
        <v>#REF!</v>
      </c>
    </row>
    <row r="64" spans="2:13" x14ac:dyDescent="0.3">
      <c r="B64" s="35"/>
      <c r="E64" s="75"/>
      <c r="F64" s="47"/>
    </row>
    <row r="65" spans="2:13" x14ac:dyDescent="0.3">
      <c r="B65" s="86" t="s">
        <v>66</v>
      </c>
      <c r="C65" s="84"/>
      <c r="D65" s="84"/>
      <c r="E65" s="85"/>
      <c r="F65" s="64" t="e">
        <f>+F63*4.86%</f>
        <v>#REF!</v>
      </c>
    </row>
    <row r="66" spans="2:13" x14ac:dyDescent="0.3">
      <c r="B66" s="35"/>
      <c r="E66" s="75"/>
      <c r="F66" s="47"/>
    </row>
    <row r="67" spans="2:13" x14ac:dyDescent="0.3">
      <c r="B67" s="48" t="s">
        <v>67</v>
      </c>
      <c r="C67" s="84"/>
      <c r="D67" s="84"/>
      <c r="E67" s="56"/>
      <c r="F67" s="17" t="e">
        <f>+F63+F65</f>
        <v>#REF!</v>
      </c>
    </row>
    <row r="68" spans="2:13" x14ac:dyDescent="0.3">
      <c r="B68" s="35"/>
      <c r="E68" s="36"/>
      <c r="F68" s="5"/>
      <c r="H68" s="2"/>
    </row>
    <row r="69" spans="2:13" x14ac:dyDescent="0.3">
      <c r="B69" s="48" t="s">
        <v>68</v>
      </c>
      <c r="C69" s="84"/>
      <c r="D69" s="84"/>
      <c r="E69" s="56"/>
      <c r="F69" s="17" t="e">
        <f>+F67*100/F16</f>
        <v>#REF!</v>
      </c>
    </row>
    <row r="70" spans="2:13" x14ac:dyDescent="0.3">
      <c r="F70" s="2"/>
    </row>
    <row r="78" spans="2:13" x14ac:dyDescent="0.3">
      <c r="J78" s="80"/>
      <c r="K78" s="80"/>
      <c r="L78" s="80"/>
      <c r="M78" s="80"/>
    </row>
    <row r="81" spans="10:13" x14ac:dyDescent="0.3">
      <c r="J81" s="80"/>
      <c r="K81" s="80"/>
      <c r="L81" s="80"/>
      <c r="M81" s="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Túrur 07-2024 FMF</vt:lpstr>
      <vt:lpstr>Ark2</vt:lpstr>
      <vt:lpstr>'Túrur 07-2024 FMF'!Udskriftsområde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Martin Petersen</dc:creator>
  <cp:lastModifiedBy>Kristian Martin Petersen</cp:lastModifiedBy>
  <cp:lastPrinted>2024-10-09T09:35:22Z</cp:lastPrinted>
  <dcterms:created xsi:type="dcterms:W3CDTF">2024-09-11T12:50:36Z</dcterms:created>
  <dcterms:modified xsi:type="dcterms:W3CDTF">2024-12-18T08:31:01Z</dcterms:modified>
</cp:coreProperties>
</file>